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<sst xmlns="http://schemas.openxmlformats.org/spreadsheetml/2006/main" count="1219" uniqueCount="246">
  <si>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</si>
  <si>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</si>
  <si>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</si>
  <si>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</si>
  <si>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</si>
  <si>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</si>
  <si>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</si>
  <si>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</si>
  <si>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</si>
  <si>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</si>
  <si>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</si>
  <si>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</si>
  <si>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</si>
  <si>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</si>
  <si>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</si>
  <si>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</si>
  <si>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</si>
  <si>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</si>
  <si>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</si>
  <si>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</si>
  <si>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</si>
  <si>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</si>
  <si>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</si>
  <si>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</si>
  <si>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</si>
  <si>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</si>
  <si>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</si>
  <si>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</si>
  <si>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</si>
  <si>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</si>
  <si>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</si>
  <si>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</si>
  <si>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</si>
  <si>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</si>
  <si>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</si>
  <si>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</si>
  <si>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</si>
  <si>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</si>
  <si>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</si>
  <si>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</si>
  <si>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</si>
  <si>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</si>
  <si>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</si>
  <si>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</si>
  <si>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</si>
  <si>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</si>
  <si>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</si>
  <si>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</si>
  <si>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</si>
  <si>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</si>
  <si>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</si>
  <si>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</si>
  <si>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</si>
  <si>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</si>
  <si>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</si>
  <si>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</si>
  <si>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</si>
  <si>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</si>
  <si>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</si>
  <si>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</si>
  <si>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</si>
  <si>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</si>
  <si>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</si>
  <si>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</si>
  <si>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</si>
  <si>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</si>
  <si>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</si>
  <si>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</si>
  <si>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</si>
  <si>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</si>
  <si>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</si>
  <si>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</si>
  <si>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</si>
  <si>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</si>
  <si>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</si>
  <si>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</si>
  <si>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</si>
  <si>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</si>
  <si>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</si>
  <si>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</si>
  <si>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</si>
  <si>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</si>
  <si>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</si>
  <si>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</si>
  <si>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</si>
  <si>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</si>
  <si>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</si>
  <si>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</si>
  <si>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</si>
  <si>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</si>
  <si>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</si>
  <si>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</si>
  <si>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</si>
  <si>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</si>
  <si>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</si>
  <si>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</si>
  <si>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</si>
  <si>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</si>
  <si>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</si>
  <si>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</si>
  <si>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</si>
  <si>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</si>
  <si>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</si>
  <si>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</si>
  <si>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</si>
  <si>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</si>
  <si>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</si>
  <si>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</si>
  <si>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</si>
  <si>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</si>
  <si>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</si>
  <si>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</si>
  <si>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</si>
  <si>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</si>
  <si>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</si>
  <si>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</si>
  <si>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</si>
  <si>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</si>
  <si>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</si>
  <si>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</si>
  <si>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</si>
  <si>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</si>
  <si>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</si>
  <si>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</si>
  <si>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</si>
  <si>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</si>
  <si>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</si>
  <si>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</si>
  <si>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</si>
  <si>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</si>
  <si>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</si>
  <si>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</si>
  <si>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</si>
  <si>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</si>
  <si>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</si>
  <si>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</si>
  <si>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</si>
  <si>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</si>
  <si>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</si>
  <si>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</si>
  <si>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</si>
  <si>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</si>
  <si>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</si>
  <si>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</si>
  <si>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</si>
  <si>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</si>
  <si>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</si>
  <si>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</si>
  <si>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</si>
  <si>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</si>
  <si>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</si>
  <si>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</si>
  <si>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</si>
  <si>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</si>
  <si>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</si>
  <si>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</si>
  <si>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</si>
  <si>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</si>
  <si>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</si>
  <si>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</si>
  <si>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</si>
  <si>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</si>
  <si>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</si>
  <si>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</si>
  <si>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</si>
  <si>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</si>
  <si>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</si>
  <si>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</si>
  <si>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</si>
  <si>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</si>
  <si>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</si>
  <si>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</si>
  <si>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</si>
  <si>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</si>
  <si>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</si>
  <si>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</si>
  <si>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</si>
  <si>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</si>
  <si>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</si>
  <si>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</si>
  <si>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</si>
  <si>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</si>
  <si>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</si>
  <si>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</si>
  <si>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</si>
  <si>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</si>
  <si>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</si>
  <si>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</si>
  <si>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</si>
  <si>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</si>
  <si>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</si>
  <si>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</si>
  <si>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</si>
  <si>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</si>
  <si>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</si>
  <si>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</si>
  <si>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</si>
  <si>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</si>
  <si>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</si>
  <si>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</si>
  <si>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</si>
  <si>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</si>
  <si>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</si>
  <si>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</si>
  <si>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</si>
  <si>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</si>
  <si>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</si>
  <si>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</si>
  <si>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</si>
  <si>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</si>
  <si>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</si>
  <si>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</si>
  <si>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</si>
  <si>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</si>
  <si>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</si>
  <si>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</si>
  <si>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</si>
  <si>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</si>
  <si>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</si>
  <si>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</si>
  <si>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</si>
  <si>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</si>
  <si>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</si>
  <si>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</si>
  <si>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</si>
  <si>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</si>
  <si>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</si>
  <si>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</si>
  <si>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</si>
  <si>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</si>
  <si>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</si>
  <si>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</si>
  <si>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</si>
  <si>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</si>
  <si>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</si>
  <si>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</si>
  <si>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</si>
  <si>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</si>
  <si>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</si>
  <si>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</si>
  <si>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</si>
  <si>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</si>
  <si>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</si>
  <si>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</si>
  <si>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</si>
  <si>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03.06.14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</si>
</sst>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119029268.26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105204046.30000001</v>
          </cell>
        </row>
      </sheetData>
      <sheetData sheetId="13">
        <row r="52">
          <cell r="B52">
            <v>25512102.169999998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51" sqref="F15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243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238</v>
      </c>
      <c r="H4" s="180" t="s">
        <v>239</v>
      </c>
      <c r="I4" s="182" t="s">
        <v>188</v>
      </c>
      <c r="J4" s="184" t="s">
        <v>189</v>
      </c>
      <c r="K4" s="186" t="s">
        <v>240</v>
      </c>
      <c r="L4" s="187"/>
      <c r="M4" s="176"/>
      <c r="N4" s="194" t="s">
        <v>245</v>
      </c>
      <c r="O4" s="182" t="s">
        <v>136</v>
      </c>
      <c r="P4" s="182" t="s">
        <v>135</v>
      </c>
      <c r="Q4" s="186" t="s">
        <v>242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237</v>
      </c>
      <c r="F5" s="179"/>
      <c r="G5" s="164"/>
      <c r="H5" s="181"/>
      <c r="I5" s="183"/>
      <c r="J5" s="185"/>
      <c r="K5" s="188"/>
      <c r="L5" s="189"/>
      <c r="M5" s="151" t="s">
        <v>241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186189.93</v>
      </c>
      <c r="G8" s="22">
        <f aca="true" t="shared" si="0" ref="G8:G30">F8-E8</f>
        <v>-47076.600000000006</v>
      </c>
      <c r="H8" s="51">
        <f>F8/E8*100</f>
        <v>79.81853633266633</v>
      </c>
      <c r="I8" s="36">
        <f aca="true" t="shared" si="1" ref="I8:I17">F8-D8</f>
        <v>-302286.37</v>
      </c>
      <c r="J8" s="36">
        <f aca="true" t="shared" si="2" ref="J8:J14">F8/D8*100</f>
        <v>38.1164715667884</v>
      </c>
      <c r="K8" s="36">
        <f>F8-227938.8</f>
        <v>-41748.869999999995</v>
      </c>
      <c r="L8" s="136">
        <f>F8/227938.8</f>
        <v>0.8168417575243881</v>
      </c>
      <c r="M8" s="22">
        <f>M10+M19+M33+M56+M68+M30</f>
        <v>41595.47</v>
      </c>
      <c r="N8" s="22">
        <f>N10+N19+N33+N56+N68+N30</f>
        <v>1384.7299999999955</v>
      </c>
      <c r="O8" s="36">
        <f aca="true" t="shared" si="3" ref="O8:O71">N8-M8</f>
        <v>-40210.740000000005</v>
      </c>
      <c r="P8" s="36">
        <f>F8/M8*100</f>
        <v>447.6206904261449</v>
      </c>
      <c r="Q8" s="36">
        <f>N8-40804</f>
        <v>-39419.270000000004</v>
      </c>
      <c r="R8" s="134">
        <f>N8/40804</f>
        <v>0.03393613371238103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149997.99</v>
      </c>
      <c r="G9" s="22">
        <f t="shared" si="0"/>
        <v>149997.99</v>
      </c>
      <c r="H9" s="20"/>
      <c r="I9" s="56">
        <f t="shared" si="1"/>
        <v>-237015.21000000002</v>
      </c>
      <c r="J9" s="56">
        <f t="shared" si="2"/>
        <v>38.75784856950615</v>
      </c>
      <c r="K9" s="56"/>
      <c r="L9" s="135"/>
      <c r="M9" s="20">
        <f>M10+M17</f>
        <v>34434.5</v>
      </c>
      <c r="N9" s="20">
        <f>N10+N17</f>
        <v>1237.8399999999965</v>
      </c>
      <c r="O9" s="36">
        <f t="shared" si="3"/>
        <v>-33196.66</v>
      </c>
      <c r="P9" s="56">
        <f>F9/M9*100</f>
        <v>435.6037985160231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149997.99</v>
      </c>
      <c r="G10" s="49">
        <f t="shared" si="0"/>
        <v>-40548.31</v>
      </c>
      <c r="H10" s="40">
        <f aca="true" t="shared" si="4" ref="H10:H17">F10/E10*100</f>
        <v>78.71996989708013</v>
      </c>
      <c r="I10" s="56">
        <f t="shared" si="1"/>
        <v>-237015.21000000002</v>
      </c>
      <c r="J10" s="56">
        <f t="shared" si="2"/>
        <v>38.75784856950615</v>
      </c>
      <c r="K10" s="141">
        <f>F10-179133.7</f>
        <v>-29135.71000000002</v>
      </c>
      <c r="L10" s="142">
        <f>F10/179133.7</f>
        <v>0.8373521565177294</v>
      </c>
      <c r="M10" s="40">
        <f>E10-травень!E10</f>
        <v>34434.5</v>
      </c>
      <c r="N10" s="40">
        <f>F10-травень!F10</f>
        <v>1237.8399999999965</v>
      </c>
      <c r="O10" s="53">
        <f t="shared" si="3"/>
        <v>-33196.66</v>
      </c>
      <c r="P10" s="56">
        <f aca="true" t="shared" si="5" ref="P10:P17">N10/M10*100</f>
        <v>3.5947668762432925</v>
      </c>
      <c r="Q10" s="141">
        <f>N10-33294.7</f>
        <v>-32056.86</v>
      </c>
      <c r="R10" s="142">
        <f>N10/33294.7</f>
        <v>0.03717828963768998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645.38</v>
      </c>
      <c r="G19" s="49">
        <f t="shared" si="0"/>
        <v>-377.22</v>
      </c>
      <c r="H19" s="40">
        <f aca="true" t="shared" si="6" ref="H19:H29">F19/E19*100</f>
        <v>63.11167611969489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F19-5620.4</f>
        <v>-4975.0199999999995</v>
      </c>
      <c r="L19" s="135">
        <f>F19/5620.4</f>
        <v>0.1148281261120205</v>
      </c>
      <c r="M19" s="40">
        <f>E19-травень!E19</f>
        <v>11</v>
      </c>
      <c r="N19" s="40">
        <f>F19-травень!F19</f>
        <v>0</v>
      </c>
      <c r="O19" s="53">
        <f t="shared" si="3"/>
        <v>-11</v>
      </c>
      <c r="P19" s="56">
        <f aca="true" t="shared" si="9" ref="P19:P29">N19/M19*100</f>
        <v>0</v>
      </c>
      <c r="Q19" s="56">
        <f>N19-465.3</f>
        <v>-465.3</v>
      </c>
      <c r="R19" s="135">
        <f>N19/465.3</f>
        <v>0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805.66</v>
      </c>
      <c r="G29" s="49">
        <f t="shared" si="0"/>
        <v>43.059999999999945</v>
      </c>
      <c r="H29" s="40">
        <f t="shared" si="6"/>
        <v>105.64647259375819</v>
      </c>
      <c r="I29" s="56">
        <f t="shared" si="7"/>
        <v>-124.34000000000003</v>
      </c>
      <c r="J29" s="56">
        <f t="shared" si="8"/>
        <v>86.63010752688172</v>
      </c>
      <c r="K29" s="148">
        <f>F29-2001.3</f>
        <v>-1195.6399999999999</v>
      </c>
      <c r="L29" s="149">
        <f>F29/2001.3</f>
        <v>0.40256833058511965</v>
      </c>
      <c r="M29" s="40">
        <f>E29-травень!E29</f>
        <v>11</v>
      </c>
      <c r="N29" s="40">
        <f>F29-травень!F29</f>
        <v>0</v>
      </c>
      <c r="O29" s="148">
        <f t="shared" si="3"/>
        <v>-11</v>
      </c>
      <c r="P29" s="145">
        <f t="shared" si="9"/>
        <v>0</v>
      </c>
      <c r="Q29" s="148">
        <f>N29-403.3</f>
        <v>-403.3</v>
      </c>
      <c r="R29" s="149">
        <f>N29/403.3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32821.13</v>
      </c>
      <c r="G33" s="49">
        <f aca="true" t="shared" si="14" ref="G33:G72">F33-E33</f>
        <v>-5460.100000000006</v>
      </c>
      <c r="H33" s="40">
        <f aca="true" t="shared" si="15" ref="H33:H67">F33/E33*100</f>
        <v>85.73687418089752</v>
      </c>
      <c r="I33" s="56">
        <f>F33-D33</f>
        <v>-60744.87</v>
      </c>
      <c r="J33" s="56">
        <f aca="true" t="shared" si="16" ref="J33:J72">F33/D33*100</f>
        <v>35.07805185644358</v>
      </c>
      <c r="K33" s="141">
        <f>F33-39969.9</f>
        <v>-7148.770000000004</v>
      </c>
      <c r="L33" s="142">
        <f>F33/39969.9</f>
        <v>0.8211461624872716</v>
      </c>
      <c r="M33" s="40">
        <f>E33-травень!E33</f>
        <v>6540.770000000004</v>
      </c>
      <c r="N33" s="40">
        <f>F33-травень!F33</f>
        <v>116.61999999999898</v>
      </c>
      <c r="O33" s="53">
        <f t="shared" si="3"/>
        <v>-6424.150000000005</v>
      </c>
      <c r="P33" s="56">
        <f aca="true" t="shared" si="17" ref="P33:P67">N33/M33*100</f>
        <v>1.7829705065305599</v>
      </c>
      <c r="Q33" s="141">
        <f>N33-6504.1</f>
        <v>-6387.480000000001</v>
      </c>
      <c r="R33" s="142">
        <f>N33/6504.1</f>
        <v>0.017930228625020982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24645.53</v>
      </c>
      <c r="G55" s="144">
        <f t="shared" si="14"/>
        <v>-3685.4000000000015</v>
      </c>
      <c r="H55" s="146">
        <f t="shared" si="15"/>
        <v>86.99160246416196</v>
      </c>
      <c r="I55" s="145">
        <f t="shared" si="18"/>
        <v>-45620.47</v>
      </c>
      <c r="J55" s="145">
        <f t="shared" si="16"/>
        <v>35.074616457461644</v>
      </c>
      <c r="K55" s="148">
        <f>F55-28815.15</f>
        <v>-4169.620000000003</v>
      </c>
      <c r="L55" s="149">
        <f>F55/28815.15</f>
        <v>0.8552976472445918</v>
      </c>
      <c r="M55" s="40">
        <f>E55-травень!E55</f>
        <v>4780.77</v>
      </c>
      <c r="N55" s="40">
        <f>F55-травень!F55</f>
        <v>107.34999999999854</v>
      </c>
      <c r="O55" s="148">
        <f t="shared" si="3"/>
        <v>-4673.420000000002</v>
      </c>
      <c r="P55" s="148">
        <f t="shared" si="17"/>
        <v>2.2454541841585884</v>
      </c>
      <c r="Q55" s="221">
        <f>N55-4583</f>
        <v>-4475.6500000000015</v>
      </c>
      <c r="R55" s="222">
        <f>N55/4583</f>
        <v>0.02342352171066955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2721.36+0.23</f>
        <v>2721.59</v>
      </c>
      <c r="G56" s="49">
        <f t="shared" si="14"/>
        <v>-676.71</v>
      </c>
      <c r="H56" s="40">
        <f t="shared" si="15"/>
        <v>80.08680810993732</v>
      </c>
      <c r="I56" s="56">
        <f t="shared" si="18"/>
        <v>-4138.41</v>
      </c>
      <c r="J56" s="56">
        <f t="shared" si="16"/>
        <v>39.67332361516035</v>
      </c>
      <c r="K56" s="56">
        <f>F56-3189.3</f>
        <v>-467.71000000000004</v>
      </c>
      <c r="L56" s="135">
        <f>F56/3189.3</f>
        <v>0.8533502649484213</v>
      </c>
      <c r="M56" s="40">
        <f>E56-травень!E56</f>
        <v>609.2000000000003</v>
      </c>
      <c r="N56" s="40">
        <f>F56-травень!F56</f>
        <v>30.269999999999982</v>
      </c>
      <c r="O56" s="53">
        <f t="shared" si="3"/>
        <v>-578.9300000000003</v>
      </c>
      <c r="P56" s="56">
        <f t="shared" si="17"/>
        <v>4.968811556139194</v>
      </c>
      <c r="Q56" s="56">
        <f>N56-539.8</f>
        <v>-509.53</v>
      </c>
      <c r="R56" s="135">
        <f>N56/539.8</f>
        <v>0.05607632456465354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5360.55</v>
      </c>
      <c r="G74" s="50">
        <f aca="true" t="shared" si="24" ref="G74:G92">F74-E74</f>
        <v>-2067.95</v>
      </c>
      <c r="H74" s="51">
        <f aca="true" t="shared" si="25" ref="H74:H87">F74/E74*100</f>
        <v>72.16194386484486</v>
      </c>
      <c r="I74" s="36">
        <f aca="true" t="shared" si="26" ref="I74:I92">F74-D74</f>
        <v>-12997.75</v>
      </c>
      <c r="J74" s="36">
        <f aca="true" t="shared" si="27" ref="J74:J92">F74/D74*100</f>
        <v>29.19959909141914</v>
      </c>
      <c r="K74" s="36">
        <f>F74-9149.2</f>
        <v>-3788.6500000000005</v>
      </c>
      <c r="L74" s="136">
        <f>F74/9149.2</f>
        <v>0.5859036855681371</v>
      </c>
      <c r="M74" s="22">
        <f>M77+M86+M88+M89+M94+M95+M96+M97+M99+M87+M103</f>
        <v>1500.5</v>
      </c>
      <c r="N74" s="22">
        <f>N77+N86+N88+N89+N94+N95+N96+N97+N99+N32+N103+N87</f>
        <v>12.259999999999913</v>
      </c>
      <c r="O74" s="55">
        <f aca="true" t="shared" si="28" ref="O74:O92">N74-M74</f>
        <v>-1488.24</v>
      </c>
      <c r="P74" s="36">
        <f>N74/M74*100</f>
        <v>0.8170609796734363</v>
      </c>
      <c r="Q74" s="36">
        <f>N74-1610.7</f>
        <v>-1598.44</v>
      </c>
      <c r="R74" s="136">
        <f>N74/1610.7</f>
        <v>0.007611597442105863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5.08</v>
      </c>
      <c r="G88" s="49">
        <f t="shared" si="24"/>
        <v>3.08</v>
      </c>
      <c r="H88" s="40">
        <f>F88/E88*100</f>
        <v>254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E88-травень!E88</f>
        <v>0.5</v>
      </c>
      <c r="N88" s="40">
        <f>F88-травень!F88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47.26</v>
      </c>
      <c r="G89" s="49">
        <f t="shared" si="24"/>
        <v>-36.74</v>
      </c>
      <c r="H89" s="40">
        <f>F89/E89*100</f>
        <v>56.26190476190476</v>
      </c>
      <c r="I89" s="56">
        <f t="shared" si="26"/>
        <v>-127.74000000000001</v>
      </c>
      <c r="J89" s="56">
        <f t="shared" si="27"/>
        <v>27.005714285714284</v>
      </c>
      <c r="K89" s="56">
        <f>F89-81.2</f>
        <v>-33.940000000000005</v>
      </c>
      <c r="L89" s="135">
        <f>F89/81.2</f>
        <v>0.5820197044334975</v>
      </c>
      <c r="M89" s="40">
        <f>E89-травень!E89</f>
        <v>15</v>
      </c>
      <c r="N89" s="40">
        <f>F89-травень!F89</f>
        <v>0.1699999999999946</v>
      </c>
      <c r="O89" s="53">
        <f t="shared" si="28"/>
        <v>-14.830000000000005</v>
      </c>
      <c r="P89" s="56">
        <f>N89/M89*100</f>
        <v>1.1333333333332973</v>
      </c>
      <c r="Q89" s="56">
        <f>N89-7.8</f>
        <v>-7.630000000000005</v>
      </c>
      <c r="R89" s="135">
        <f>N89/7.8</f>
        <v>0.021794871794871103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2962.16</v>
      </c>
      <c r="G95" s="49">
        <f t="shared" si="31"/>
        <v>-569.3400000000001</v>
      </c>
      <c r="H95" s="40">
        <f>F95/E95*100</f>
        <v>83.87823870876397</v>
      </c>
      <c r="I95" s="56">
        <f t="shared" si="32"/>
        <v>-4037.84</v>
      </c>
      <c r="J95" s="56">
        <f>F95/D95*100</f>
        <v>42.31657142857143</v>
      </c>
      <c r="K95" s="56">
        <f>F95-3630.2</f>
        <v>-668.04</v>
      </c>
      <c r="L95" s="135">
        <f>F95/3630.2</f>
        <v>0.8159770811525536</v>
      </c>
      <c r="M95" s="40">
        <f>E95-травень!E95</f>
        <v>575</v>
      </c>
      <c r="N95" s="40">
        <f>F95-травень!F95</f>
        <v>0</v>
      </c>
      <c r="O95" s="53">
        <f t="shared" si="33"/>
        <v>-575</v>
      </c>
      <c r="P95" s="56">
        <f>N95/M95*100</f>
        <v>0</v>
      </c>
      <c r="Q95" s="56">
        <f>N95-681.8</f>
        <v>-681.8</v>
      </c>
      <c r="R95" s="135">
        <f>N95/681.8</f>
        <v>0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357.77</v>
      </c>
      <c r="G96" s="49">
        <f t="shared" si="31"/>
        <v>-116.73000000000002</v>
      </c>
      <c r="H96" s="40">
        <f>F96/E96*100</f>
        <v>75.39936775553213</v>
      </c>
      <c r="I96" s="56">
        <f t="shared" si="32"/>
        <v>-842.23</v>
      </c>
      <c r="J96" s="56">
        <f>F96/D96*100</f>
        <v>29.814166666666665</v>
      </c>
      <c r="K96" s="56">
        <f>F96-463.2</f>
        <v>-105.43</v>
      </c>
      <c r="L96" s="135">
        <f>F96/463.2</f>
        <v>0.772387737478411</v>
      </c>
      <c r="M96" s="40">
        <f>E96-травень!E96</f>
        <v>100</v>
      </c>
      <c r="N96" s="40">
        <f>F96-травень!F96</f>
        <v>6.789999999999964</v>
      </c>
      <c r="O96" s="53">
        <f t="shared" si="33"/>
        <v>-93.21000000000004</v>
      </c>
      <c r="P96" s="56">
        <f>N96/M96*100</f>
        <v>6.7899999999999645</v>
      </c>
      <c r="Q96" s="56">
        <f>N96-89.2</f>
        <v>-82.41000000000004</v>
      </c>
      <c r="R96" s="135">
        <f>N96/89.2</f>
        <v>0.07612107623318344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F97-16.2</f>
        <v>-16.2</v>
      </c>
      <c r="L97" s="135">
        <f>F97/16.2</f>
        <v>0</v>
      </c>
      <c r="M97" s="40">
        <f>E97-травень!E97</f>
        <v>0</v>
      </c>
      <c r="N97" s="40">
        <f>F97-травень!F97</f>
        <v>0</v>
      </c>
      <c r="O97" s="53">
        <f t="shared" si="33"/>
        <v>0</v>
      </c>
      <c r="P97" s="56"/>
      <c r="Q97" s="56">
        <f>N97-0.9</f>
        <v>-0.9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v>1655.23</v>
      </c>
      <c r="G99" s="49">
        <f t="shared" si="31"/>
        <v>-181.76999999999998</v>
      </c>
      <c r="H99" s="40">
        <f>F99/E99*100</f>
        <v>90.10506260206859</v>
      </c>
      <c r="I99" s="56">
        <f t="shared" si="32"/>
        <v>-2917.47</v>
      </c>
      <c r="J99" s="56">
        <f>F99/D99*100</f>
        <v>36.19808865659239</v>
      </c>
      <c r="K99" s="56">
        <f>F99-1991.7</f>
        <v>-336.47</v>
      </c>
      <c r="L99" s="135">
        <f>F99/1991.7</f>
        <v>0.8310639152482804</v>
      </c>
      <c r="M99" s="40">
        <f>E99-травень!E99</f>
        <v>330</v>
      </c>
      <c r="N99" s="40">
        <f>F99-травень!F99</f>
        <v>5.2999999999999545</v>
      </c>
      <c r="O99" s="53">
        <f t="shared" si="33"/>
        <v>-324.70000000000005</v>
      </c>
      <c r="P99" s="56">
        <f>N99/M99*100</f>
        <v>1.6060606060605922</v>
      </c>
      <c r="Q99" s="56">
        <f>N99-325.9</f>
        <v>-320.6</v>
      </c>
      <c r="R99" s="135">
        <f>N99/325.9</f>
        <v>0.016262657256827108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293.4</v>
      </c>
      <c r="G102" s="144"/>
      <c r="H102" s="146"/>
      <c r="I102" s="145"/>
      <c r="J102" s="145"/>
      <c r="K102" s="148">
        <f>F102-244.8</f>
        <v>48.599999999999966</v>
      </c>
      <c r="L102" s="149">
        <f>F102/244.8</f>
        <v>1.1985294117647058</v>
      </c>
      <c r="M102" s="40">
        <f>E102-травень!E102</f>
        <v>0</v>
      </c>
      <c r="N102" s="40">
        <f>F102-травень!F102</f>
        <v>2.1999999999999886</v>
      </c>
      <c r="O102" s="53"/>
      <c r="P102" s="60"/>
      <c r="Q102" s="60">
        <f>N102-60.1</f>
        <v>-57.90000000000001</v>
      </c>
      <c r="R102" s="138">
        <f>N102/60.1</f>
        <v>0.03660565723793658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11.67</v>
      </c>
      <c r="G104" s="49">
        <f>F104-E104</f>
        <v>-3.5299999999999994</v>
      </c>
      <c r="H104" s="40">
        <f>F104/E104*100</f>
        <v>76.7763157894737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F104-13.4</f>
        <v>-1.7300000000000004</v>
      </c>
      <c r="L104" s="135">
        <f>F104/13.4</f>
        <v>0.8708955223880597</v>
      </c>
      <c r="M104" s="40">
        <f>E104-травень!E104</f>
        <v>3</v>
      </c>
      <c r="N104" s="40">
        <f>F104-травень!F104</f>
        <v>0</v>
      </c>
      <c r="O104" s="53">
        <f t="shared" si="35"/>
        <v>-3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191562.19</v>
      </c>
      <c r="G106" s="50">
        <f>F106-E106</f>
        <v>-49148.04000000001</v>
      </c>
      <c r="H106" s="51">
        <f>F106/E106*100</f>
        <v>79.58207260239833</v>
      </c>
      <c r="I106" s="36">
        <f t="shared" si="34"/>
        <v>-315317.41</v>
      </c>
      <c r="J106" s="36">
        <f t="shared" si="36"/>
        <v>37.79244420173943</v>
      </c>
      <c r="K106" s="36">
        <f>F106-237104</f>
        <v>-45541.81</v>
      </c>
      <c r="L106" s="136">
        <f>F106/237104</f>
        <v>0.8079247503205345</v>
      </c>
      <c r="M106" s="22">
        <f>M8+M74+M104+M105</f>
        <v>43098.97</v>
      </c>
      <c r="N106" s="22">
        <f>N8+N74+N104+N105</f>
        <v>1396.9899999999955</v>
      </c>
      <c r="O106" s="55">
        <f t="shared" si="35"/>
        <v>-41701.98</v>
      </c>
      <c r="P106" s="36">
        <f>N106/M106*100</f>
        <v>3.2413535636698403</v>
      </c>
      <c r="Q106" s="36">
        <f>N106-42414.8</f>
        <v>-41017.810000000005</v>
      </c>
      <c r="R106" s="136">
        <f>N106/42414.8</f>
        <v>0.03293638069730366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150355.75999999998</v>
      </c>
      <c r="G107" s="71">
        <f>G10-G18+G96</f>
        <v>-40665.04</v>
      </c>
      <c r="H107" s="72">
        <f>F107/E107*100</f>
        <v>78.71172144604147</v>
      </c>
      <c r="I107" s="52">
        <f t="shared" si="34"/>
        <v>-237857.44000000003</v>
      </c>
      <c r="J107" s="52">
        <f t="shared" si="36"/>
        <v>38.73020288851589</v>
      </c>
      <c r="K107" s="52">
        <f>F107-179685.8</f>
        <v>-29330.040000000008</v>
      </c>
      <c r="L107" s="137">
        <f>F107/179685.8</f>
        <v>0.8367704070104593</v>
      </c>
      <c r="M107" s="71">
        <f>M10-M18+M96</f>
        <v>34534.5</v>
      </c>
      <c r="N107" s="71">
        <f>N10-N18+N96</f>
        <v>1244.6299999999965</v>
      </c>
      <c r="O107" s="53">
        <f t="shared" si="35"/>
        <v>-33289.87</v>
      </c>
      <c r="P107" s="52">
        <f>N107/M107*100</f>
        <v>3.6040191692365506</v>
      </c>
      <c r="Q107" s="52">
        <f>N107-33396.9</f>
        <v>-32152.270000000004</v>
      </c>
      <c r="R107" s="137">
        <f>N107/33396.9</f>
        <v>0.037267830247717494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41206.43000000002</v>
      </c>
      <c r="G108" s="62">
        <f>F108-E108</f>
        <v>-8483</v>
      </c>
      <c r="H108" s="72">
        <f>F108/E108*100</f>
        <v>82.92795872281089</v>
      </c>
      <c r="I108" s="52">
        <f t="shared" si="34"/>
        <v>-77459.96999999994</v>
      </c>
      <c r="J108" s="52">
        <f t="shared" si="36"/>
        <v>34.72459769572519</v>
      </c>
      <c r="K108" s="52">
        <f>F108-57418.1</f>
        <v>-16211.669999999976</v>
      </c>
      <c r="L108" s="137">
        <f>F108/57418.1</f>
        <v>0.7176557566342324</v>
      </c>
      <c r="M108" s="71">
        <f>M106-M107</f>
        <v>8564.470000000001</v>
      </c>
      <c r="N108" s="71">
        <f>N106-N107</f>
        <v>152.359999999999</v>
      </c>
      <c r="O108" s="53">
        <f t="shared" si="35"/>
        <v>-8412.110000000002</v>
      </c>
      <c r="P108" s="52">
        <f>N108/M108*100</f>
        <v>1.7789775666211565</v>
      </c>
      <c r="Q108" s="52">
        <f>N108-9017.9</f>
        <v>-8865.54</v>
      </c>
      <c r="R108" s="137">
        <f>N108/9017.9</f>
        <v>0.016895286042204836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150355.75999999998</v>
      </c>
      <c r="G109" s="111">
        <f>F109-E109</f>
        <v>-35295.140000000014</v>
      </c>
      <c r="H109" s="72">
        <f>F109/E109*100</f>
        <v>80.98843582228795</v>
      </c>
      <c r="I109" s="81">
        <f t="shared" si="34"/>
        <v>-237857.44000000003</v>
      </c>
      <c r="J109" s="52">
        <f t="shared" si="36"/>
        <v>38.73020288851589</v>
      </c>
      <c r="K109" s="52"/>
      <c r="L109" s="137"/>
      <c r="M109" s="72">
        <f>E109-травень!E109</f>
        <v>34534.5</v>
      </c>
      <c r="N109" s="71">
        <f>N107</f>
        <v>1244.6299999999965</v>
      </c>
      <c r="O109" s="118">
        <f t="shared" si="35"/>
        <v>-33289.87</v>
      </c>
      <c r="P109" s="52">
        <f>N109/M109*100</f>
        <v>3.6040191692365506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506.01</v>
      </c>
      <c r="G114" s="49">
        <f t="shared" si="37"/>
        <v>-1191.09</v>
      </c>
      <c r="H114" s="40">
        <f aca="true" t="shared" si="39" ref="H114:H125">F114/E114*100</f>
        <v>29.816156973660952</v>
      </c>
      <c r="I114" s="60">
        <f t="shared" si="38"/>
        <v>-3165.49</v>
      </c>
      <c r="J114" s="60">
        <f aca="true" t="shared" si="40" ref="J114:J120">F114/D114*100</f>
        <v>13.7821054065096</v>
      </c>
      <c r="K114" s="60">
        <f>F114-1891.5</f>
        <v>-1385.49</v>
      </c>
      <c r="L114" s="138">
        <f>F114/1891.5</f>
        <v>0.2675178429817605</v>
      </c>
      <c r="M114" s="40">
        <f>E114-травень!E114</f>
        <v>327.5</v>
      </c>
      <c r="N114" s="40">
        <f>F114-травень!F114</f>
        <v>6.25</v>
      </c>
      <c r="O114" s="53">
        <f aca="true" t="shared" si="41" ref="O114:O125">N114-M114</f>
        <v>-321.25</v>
      </c>
      <c r="P114" s="60">
        <f>N114/M114*100</f>
        <v>1.9083969465648856</v>
      </c>
      <c r="Q114" s="60">
        <f>N114-276.6</f>
        <v>-270.35</v>
      </c>
      <c r="R114" s="138">
        <f>N114/276.6</f>
        <v>0.02259580621836587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121.61</v>
      </c>
      <c r="G115" s="49">
        <f t="shared" si="37"/>
        <v>-12.89</v>
      </c>
      <c r="H115" s="40">
        <f t="shared" si="39"/>
        <v>90.41635687732342</v>
      </c>
      <c r="I115" s="60">
        <f t="shared" si="38"/>
        <v>-146.49</v>
      </c>
      <c r="J115" s="60">
        <f t="shared" si="40"/>
        <v>45.35994032077583</v>
      </c>
      <c r="K115" s="60">
        <f>F115-131.2</f>
        <v>-9.58999999999999</v>
      </c>
      <c r="L115" s="138">
        <f>F115/131.2</f>
        <v>0.9269054878048781</v>
      </c>
      <c r="M115" s="40">
        <f>E115-травень!E115</f>
        <v>22</v>
      </c>
      <c r="N115" s="40">
        <f>F115-травень!F115</f>
        <v>2.069999999999993</v>
      </c>
      <c r="O115" s="53">
        <f t="shared" si="41"/>
        <v>-19.930000000000007</v>
      </c>
      <c r="P115" s="60">
        <f>N115/M115*100</f>
        <v>9.409090909090878</v>
      </c>
      <c r="Q115" s="60">
        <f>N115-25.8</f>
        <v>-23.730000000000008</v>
      </c>
      <c r="R115" s="138">
        <f>N115/25.8</f>
        <v>0.08023255813953462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626.48</v>
      </c>
      <c r="G116" s="62">
        <f t="shared" si="37"/>
        <v>-1205.12</v>
      </c>
      <c r="H116" s="72">
        <f t="shared" si="39"/>
        <v>34.203974666957855</v>
      </c>
      <c r="I116" s="61">
        <f t="shared" si="38"/>
        <v>-3313.12</v>
      </c>
      <c r="J116" s="61">
        <f t="shared" si="40"/>
        <v>15.902122042846992</v>
      </c>
      <c r="K116" s="61">
        <f>F116-2030.5</f>
        <v>-1404.02</v>
      </c>
      <c r="L116" s="139">
        <f>F116/2030.5</f>
        <v>0.3085348436345728</v>
      </c>
      <c r="M116" s="62">
        <f>M114+M115+M113</f>
        <v>349.5</v>
      </c>
      <c r="N116" s="38">
        <f>SUM(N113:N115)</f>
        <v>8.319999999999993</v>
      </c>
      <c r="O116" s="61">
        <f t="shared" si="41"/>
        <v>-341.18</v>
      </c>
      <c r="P116" s="61">
        <f>N116/M116*100</f>
        <v>2.380543633762516</v>
      </c>
      <c r="Q116" s="61">
        <f>N116-303.5</f>
        <v>-295.18</v>
      </c>
      <c r="R116" s="139">
        <f>N116/303.5</f>
        <v>0.027413509060955497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129.8</v>
      </c>
      <c r="G118" s="49">
        <f t="shared" si="37"/>
        <v>20.30000000000001</v>
      </c>
      <c r="H118" s="40">
        <f t="shared" si="39"/>
        <v>118.53881278538813</v>
      </c>
      <c r="I118" s="60">
        <f t="shared" si="38"/>
        <v>-137.39999999999998</v>
      </c>
      <c r="J118" s="60">
        <f t="shared" si="40"/>
        <v>48.57784431137725</v>
      </c>
      <c r="K118" s="60">
        <f>F118-95.9</f>
        <v>33.900000000000006</v>
      </c>
      <c r="L118" s="138">
        <f>F118/95.9</f>
        <v>1.353493222106361</v>
      </c>
      <c r="M118" s="40">
        <f>E118-травень!E118</f>
        <v>3</v>
      </c>
      <c r="N118" s="40">
        <f>F118-травень!F118</f>
        <v>0.05000000000001137</v>
      </c>
      <c r="O118" s="53">
        <f>N118-M118</f>
        <v>-2.9499999999999886</v>
      </c>
      <c r="P118" s="60">
        <f>N118/M118*100</f>
        <v>1.6666666666670455</v>
      </c>
      <c r="Q118" s="60">
        <f>N118-7.4</f>
        <v>-7.349999999999989</v>
      </c>
      <c r="R118" s="138">
        <f>N118/7.4</f>
        <v>0.006756756756758292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35356.15</v>
      </c>
      <c r="G119" s="49">
        <f t="shared" si="37"/>
        <v>1143.550000000003</v>
      </c>
      <c r="H119" s="40">
        <f t="shared" si="39"/>
        <v>103.34248200955204</v>
      </c>
      <c r="I119" s="53">
        <f t="shared" si="38"/>
        <v>-36619.840000000004</v>
      </c>
      <c r="J119" s="60">
        <f t="shared" si="40"/>
        <v>49.12214475966221</v>
      </c>
      <c r="K119" s="60">
        <f>F119-32510.8</f>
        <v>2845.350000000002</v>
      </c>
      <c r="L119" s="138">
        <f>F119/32510.8</f>
        <v>1.0875201471511007</v>
      </c>
      <c r="M119" s="40">
        <f>E119-травень!E119</f>
        <v>2600</v>
      </c>
      <c r="N119" s="40">
        <f>F119-травень!F119</f>
        <v>181.9300000000003</v>
      </c>
      <c r="O119" s="53">
        <f t="shared" si="41"/>
        <v>-2418.0699999999997</v>
      </c>
      <c r="P119" s="60">
        <f aca="true" t="shared" si="42" ref="P119:P124">N119/M119*100</f>
        <v>6.997307692307704</v>
      </c>
      <c r="Q119" s="60">
        <v>2488.2</v>
      </c>
      <c r="R119" s="138">
        <f>N119/2488.2</f>
        <v>0.0731171127722853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1629.89</v>
      </c>
      <c r="G120" s="49">
        <f t="shared" si="37"/>
        <v>-37.1099999999999</v>
      </c>
      <c r="H120" s="40">
        <f t="shared" si="39"/>
        <v>97.77384523095381</v>
      </c>
      <c r="I120" s="60">
        <f t="shared" si="38"/>
        <v>-8370.11</v>
      </c>
      <c r="J120" s="60">
        <f t="shared" si="40"/>
        <v>16.298900000000003</v>
      </c>
      <c r="K120" s="60">
        <f>F120-624.6</f>
        <v>1005.2900000000001</v>
      </c>
      <c r="L120" s="138">
        <f>F120/624.6</f>
        <v>2.6094940762087737</v>
      </c>
      <c r="M120" s="40">
        <f>E120-травень!E120</f>
        <v>19</v>
      </c>
      <c r="N120" s="40">
        <f>F120-травень!F120</f>
        <v>17.960000000000036</v>
      </c>
      <c r="O120" s="53">
        <f t="shared" si="41"/>
        <v>-1.0399999999999636</v>
      </c>
      <c r="P120" s="60">
        <f t="shared" si="42"/>
        <v>94.52631578947388</v>
      </c>
      <c r="Q120" s="60">
        <f>N120-188.5</f>
        <v>-170.53999999999996</v>
      </c>
      <c r="R120" s="138">
        <f>N120/188.5</f>
        <v>0.09527851458885961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2070.75</v>
      </c>
      <c r="G121" s="49">
        <f t="shared" si="37"/>
        <v>-2751.8500000000004</v>
      </c>
      <c r="H121" s="40">
        <f t="shared" si="39"/>
        <v>42.938456434288554</v>
      </c>
      <c r="I121" s="60">
        <f t="shared" si="38"/>
        <v>-21007.25</v>
      </c>
      <c r="J121" s="60">
        <f>F121/D121*100</f>
        <v>8.972831267874167</v>
      </c>
      <c r="K121" s="60">
        <f>F121-13847.9</f>
        <v>-11777.15</v>
      </c>
      <c r="L121" s="138">
        <f>F121/13847.9</f>
        <v>0.14953530860274844</v>
      </c>
      <c r="M121" s="40">
        <f>E121-травень!E121</f>
        <v>1767.2000000000003</v>
      </c>
      <c r="N121" s="40">
        <f>F121-травень!F121</f>
        <v>0</v>
      </c>
      <c r="O121" s="53">
        <f t="shared" si="41"/>
        <v>-1767.2000000000003</v>
      </c>
      <c r="P121" s="60">
        <f t="shared" si="42"/>
        <v>0</v>
      </c>
      <c r="Q121" s="60">
        <f>N121-6379.2</f>
        <v>-6379.2</v>
      </c>
      <c r="R121" s="138">
        <f>N121/6379.2</f>
        <v>0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700.79</v>
      </c>
      <c r="G122" s="49">
        <f t="shared" si="37"/>
        <v>-161.66000000000008</v>
      </c>
      <c r="H122" s="40">
        <f t="shared" si="39"/>
        <v>81.25572496956345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E122-травень!E122</f>
        <v>189.59000000000003</v>
      </c>
      <c r="N122" s="40">
        <f>F122-травень!F122</f>
        <v>0</v>
      </c>
      <c r="O122" s="53">
        <f t="shared" si="41"/>
        <v>-189.59000000000003</v>
      </c>
      <c r="P122" s="60">
        <f t="shared" si="42"/>
        <v>0</v>
      </c>
      <c r="Q122" s="60">
        <f>N122-0</f>
        <v>0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39887.380000000005</v>
      </c>
      <c r="G123" s="62">
        <f t="shared" si="37"/>
        <v>-1786.7699999999895</v>
      </c>
      <c r="H123" s="72">
        <f t="shared" si="39"/>
        <v>95.71252203104325</v>
      </c>
      <c r="I123" s="61">
        <f t="shared" si="38"/>
        <v>-67433.81</v>
      </c>
      <c r="J123" s="61">
        <f>F123/D123*100</f>
        <v>37.166360156833896</v>
      </c>
      <c r="K123" s="61">
        <f>F123-48279.1</f>
        <v>-8391.719999999994</v>
      </c>
      <c r="L123" s="139">
        <f>F123/48279.1</f>
        <v>0.8261831724286494</v>
      </c>
      <c r="M123" s="62">
        <f>M119+M120+M121+M122+M118</f>
        <v>4578.790000000001</v>
      </c>
      <c r="N123" s="62">
        <f>N119+N120+N121+N122+N118</f>
        <v>199.94000000000034</v>
      </c>
      <c r="O123" s="61">
        <f t="shared" si="41"/>
        <v>-4378.85</v>
      </c>
      <c r="P123" s="61">
        <f t="shared" si="42"/>
        <v>4.366655819550586</v>
      </c>
      <c r="Q123" s="61">
        <f>N123-9063.3</f>
        <v>-8863.359999999999</v>
      </c>
      <c r="R123" s="139">
        <f>N123/9063.3</f>
        <v>0.022060397426985796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10.71</v>
      </c>
      <c r="G124" s="49">
        <f t="shared" si="37"/>
        <v>-6.449999999999999</v>
      </c>
      <c r="H124" s="40">
        <f t="shared" si="39"/>
        <v>62.41258741258741</v>
      </c>
      <c r="I124" s="60">
        <f t="shared" si="38"/>
        <v>-32.79</v>
      </c>
      <c r="J124" s="60">
        <f>F124/D124*100</f>
        <v>24.620689655172416</v>
      </c>
      <c r="K124" s="60">
        <f>F124-100.8</f>
        <v>-90.09</v>
      </c>
      <c r="L124" s="138">
        <f>F124/100.8</f>
        <v>0.10625000000000001</v>
      </c>
      <c r="M124" s="40">
        <f>E124-травень!E124</f>
        <v>3</v>
      </c>
      <c r="N124" s="40">
        <f>F124-травень!F124</f>
        <v>0</v>
      </c>
      <c r="O124" s="53">
        <f t="shared" si="41"/>
        <v>-3</v>
      </c>
      <c r="P124" s="60">
        <f t="shared" si="42"/>
        <v>0</v>
      </c>
      <c r="Q124" s="60">
        <f>N124-1.6</f>
        <v>-1.6</v>
      </c>
      <c r="R124" s="138">
        <f>N124/1.6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5292.86</v>
      </c>
      <c r="G127" s="49">
        <f aca="true" t="shared" si="43" ref="G127:G134">F127-E127</f>
        <v>280.3599999999997</v>
      </c>
      <c r="H127" s="40">
        <f>F127/E127*100</f>
        <v>105.59321695760597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F127-6301.4</f>
        <v>-1008.54</v>
      </c>
      <c r="L127" s="138">
        <f>F127/6301.4</f>
        <v>0.8399498524137493</v>
      </c>
      <c r="M127" s="40">
        <f>E127-травень!E127</f>
        <v>1</v>
      </c>
      <c r="N127" s="40">
        <f>F127-травень!F127</f>
        <v>0</v>
      </c>
      <c r="O127" s="53">
        <f aca="true" t="shared" si="45" ref="O127:O134">N127-M127</f>
        <v>-1</v>
      </c>
      <c r="P127" s="60">
        <f>N127/M127*100</f>
        <v>0</v>
      </c>
      <c r="Q127" s="60">
        <f>N127-12.3</f>
        <v>-12.3</v>
      </c>
      <c r="R127" s="162">
        <f>N127/12.3</f>
        <v>0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5321.37</v>
      </c>
      <c r="G129" s="62">
        <f t="shared" si="43"/>
        <v>284.5100000000002</v>
      </c>
      <c r="H129" s="72">
        <f>F129/E129*100</f>
        <v>105.64855882434692</v>
      </c>
      <c r="I129" s="61">
        <f t="shared" si="44"/>
        <v>-3429.330000000001</v>
      </c>
      <c r="J129" s="61">
        <f>F129/D129*100</f>
        <v>60.81079227947478</v>
      </c>
      <c r="K129" s="61">
        <f>F129-6410.2</f>
        <v>-1088.83</v>
      </c>
      <c r="L129" s="139">
        <f>G129/6410.2</f>
        <v>0.04438395057876513</v>
      </c>
      <c r="M129" s="62">
        <f>M124+M127+M128+M126</f>
        <v>4</v>
      </c>
      <c r="N129" s="62">
        <f>N124+N127+N128+N126</f>
        <v>0</v>
      </c>
      <c r="O129" s="61">
        <f t="shared" si="45"/>
        <v>-4</v>
      </c>
      <c r="P129" s="61">
        <f>N129/M129*100</f>
        <v>0</v>
      </c>
      <c r="Q129" s="61">
        <f>N129-14</f>
        <v>-14</v>
      </c>
      <c r="R129" s="137">
        <f>N129/14</f>
        <v>0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13.15</v>
      </c>
      <c r="G130" s="49">
        <f>F130-E130</f>
        <v>-2.5</v>
      </c>
      <c r="H130" s="40">
        <f>F130/E130*100</f>
        <v>84.02555910543131</v>
      </c>
      <c r="I130" s="60">
        <f>F130-D130</f>
        <v>-16.85</v>
      </c>
      <c r="J130" s="60">
        <f>F130/D130*100</f>
        <v>43.833333333333336</v>
      </c>
      <c r="K130" s="60">
        <f>F130-16.8</f>
        <v>-3.6500000000000004</v>
      </c>
      <c r="L130" s="138">
        <f>F130/16.8</f>
        <v>0.7827380952380952</v>
      </c>
      <c r="M130" s="40">
        <f>E130-травень!E130</f>
        <v>7</v>
      </c>
      <c r="N130" s="40">
        <f>F130-травень!F130</f>
        <v>0</v>
      </c>
      <c r="O130" s="53">
        <f>N130-M130</f>
        <v>-7</v>
      </c>
      <c r="P130" s="60">
        <f>N130/M130*100</f>
        <v>0</v>
      </c>
      <c r="Q130" s="60">
        <f>N130-7.5</f>
        <v>-7.5</v>
      </c>
      <c r="R130" s="138">
        <f>N130/7.5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45848.380000000005</v>
      </c>
      <c r="G133" s="50">
        <f t="shared" si="43"/>
        <v>-2709.87999999999</v>
      </c>
      <c r="H133" s="51">
        <f>F133/E133*100</f>
        <v>94.41932227390357</v>
      </c>
      <c r="I133" s="36">
        <f t="shared" si="44"/>
        <v>-74193.11</v>
      </c>
      <c r="J133" s="36">
        <f>F133/D133*100</f>
        <v>38.19377783464701</v>
      </c>
      <c r="K133" s="36">
        <f>F133-56736.6</f>
        <v>-10888.219999999994</v>
      </c>
      <c r="L133" s="136">
        <f>F133/56736.6</f>
        <v>0.8080917784992404</v>
      </c>
      <c r="M133" s="31">
        <f>M116+M130+M123+M129+M132+M131</f>
        <v>4939.290000000001</v>
      </c>
      <c r="N133" s="31">
        <f>N116+N130+N123+N129+N132+N131</f>
        <v>208.26000000000033</v>
      </c>
      <c r="O133" s="36">
        <f t="shared" si="45"/>
        <v>-4731.030000000001</v>
      </c>
      <c r="P133" s="36">
        <f>N133/M133*100</f>
        <v>4.216395473843412</v>
      </c>
      <c r="Q133" s="36">
        <f>N133-9388.2</f>
        <v>-9179.94</v>
      </c>
      <c r="R133" s="136">
        <f>N133/9388.2</f>
        <v>0.022183166102128237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237410.57</v>
      </c>
      <c r="G134" s="50">
        <f t="shared" si="43"/>
        <v>-51857.919999999984</v>
      </c>
      <c r="H134" s="51">
        <f>F134/E134*100</f>
        <v>82.0727380296416</v>
      </c>
      <c r="I134" s="36">
        <f t="shared" si="44"/>
        <v>-389510.51999999996</v>
      </c>
      <c r="J134" s="36">
        <f>F134/D134*100</f>
        <v>37.86929069494217</v>
      </c>
      <c r="K134" s="36">
        <f>F134-293840.6</f>
        <v>-56430.02999999997</v>
      </c>
      <c r="L134" s="136">
        <f>F134/293840.6</f>
        <v>0.8079570011768286</v>
      </c>
      <c r="M134" s="22">
        <f>M106+M133</f>
        <v>48038.26</v>
      </c>
      <c r="N134" s="22">
        <f>N106+N133</f>
        <v>1605.249999999996</v>
      </c>
      <c r="O134" s="36">
        <f t="shared" si="45"/>
        <v>-46433.01000000001</v>
      </c>
      <c r="P134" s="36">
        <f>N134/M134*100</f>
        <v>3.3416072938528494</v>
      </c>
      <c r="Q134" s="36">
        <f>N134-51803</f>
        <v>-50197.75000000001</v>
      </c>
      <c r="R134" s="136">
        <f>N134/51803</f>
        <v>0.030987587591452155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17</v>
      </c>
      <c r="D136" s="4" t="s">
        <v>118</v>
      </c>
    </row>
    <row r="137" spans="2:17" ht="31.5">
      <c r="B137" s="78" t="s">
        <v>154</v>
      </c>
      <c r="C137" s="39">
        <f>IF(O106&lt;0,ABS(O106/C136),0)</f>
        <v>2453.057647058824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41793</v>
      </c>
      <c r="D138" s="39">
        <v>609.9</v>
      </c>
      <c r="N138" s="191"/>
      <c r="O138" s="191"/>
    </row>
    <row r="139" spans="3:15" ht="15.75">
      <c r="C139" s="120">
        <v>41792</v>
      </c>
      <c r="D139" s="39">
        <v>787.1</v>
      </c>
      <c r="F139" s="4" t="s">
        <v>166</v>
      </c>
      <c r="G139" s="192" t="s">
        <v>151</v>
      </c>
      <c r="H139" s="192"/>
      <c r="I139" s="115">
        <f>'[1]залишки  (2)'!$G$9/1000</f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41789</v>
      </c>
      <c r="D140" s="39">
        <v>2970.6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f>'[1]залишки  (2)'!$G$6/1000</f>
        <v>119029.26826000001</v>
      </c>
      <c r="E142" s="80"/>
      <c r="F142" s="100" t="s">
        <v>147</v>
      </c>
      <c r="G142" s="192" t="s">
        <v>149</v>
      </c>
      <c r="H142" s="192"/>
      <c r="I142" s="116">
        <f>'[1]залишки  (2)'!$G$10/1000</f>
        <v>105204.04630000002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25512.10217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50" sqref="G15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233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229</v>
      </c>
      <c r="H4" s="180" t="s">
        <v>230</v>
      </c>
      <c r="I4" s="182" t="s">
        <v>188</v>
      </c>
      <c r="J4" s="184" t="s">
        <v>189</v>
      </c>
      <c r="K4" s="186" t="s">
        <v>231</v>
      </c>
      <c r="L4" s="187"/>
      <c r="M4" s="176"/>
      <c r="N4" s="194" t="s">
        <v>236</v>
      </c>
      <c r="O4" s="182" t="s">
        <v>136</v>
      </c>
      <c r="P4" s="182" t="s">
        <v>135</v>
      </c>
      <c r="Q4" s="186" t="s">
        <v>234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228</v>
      </c>
      <c r="F5" s="179"/>
      <c r="G5" s="164"/>
      <c r="H5" s="181"/>
      <c r="I5" s="183"/>
      <c r="J5" s="185"/>
      <c r="K5" s="188"/>
      <c r="L5" s="189"/>
      <c r="M5" s="151" t="s">
        <v>232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1"/>
      <c r="O138" s="191"/>
    </row>
    <row r="139" spans="3:15" ht="15.75">
      <c r="C139" s="120">
        <v>41788</v>
      </c>
      <c r="D139" s="39">
        <v>5993.3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41787</v>
      </c>
      <c r="D140" s="39">
        <v>2595.2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118982.48</v>
      </c>
      <c r="E142" s="80"/>
      <c r="F142" s="100" t="s">
        <v>147</v>
      </c>
      <c r="G142" s="192" t="s">
        <v>149</v>
      </c>
      <c r="H142" s="192"/>
      <c r="I142" s="116">
        <v>105157.26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27359.4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5" t="s">
        <v>226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224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225</v>
      </c>
      <c r="N3" s="177" t="s">
        <v>221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217</v>
      </c>
      <c r="H4" s="180" t="s">
        <v>218</v>
      </c>
      <c r="I4" s="182" t="s">
        <v>188</v>
      </c>
      <c r="J4" s="184" t="s">
        <v>189</v>
      </c>
      <c r="K4" s="186" t="s">
        <v>219</v>
      </c>
      <c r="L4" s="187"/>
      <c r="M4" s="176"/>
      <c r="N4" s="194" t="s">
        <v>227</v>
      </c>
      <c r="O4" s="182" t="s">
        <v>136</v>
      </c>
      <c r="P4" s="182" t="s">
        <v>135</v>
      </c>
      <c r="Q4" s="186" t="s">
        <v>222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216</v>
      </c>
      <c r="F5" s="179"/>
      <c r="G5" s="164"/>
      <c r="H5" s="181"/>
      <c r="I5" s="183"/>
      <c r="J5" s="185"/>
      <c r="K5" s="188"/>
      <c r="L5" s="189"/>
      <c r="M5" s="151" t="s">
        <v>220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1"/>
      <c r="O138" s="191"/>
    </row>
    <row r="139" spans="3:15" ht="15.75">
      <c r="C139" s="120">
        <v>41758</v>
      </c>
      <c r="D139" s="39">
        <v>5440.9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41757</v>
      </c>
      <c r="D140" s="39">
        <v>1923.2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123251.48</v>
      </c>
      <c r="E142" s="80"/>
      <c r="F142" s="100" t="s">
        <v>147</v>
      </c>
      <c r="G142" s="192" t="s">
        <v>149</v>
      </c>
      <c r="H142" s="192"/>
      <c r="I142" s="116">
        <v>109426.25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f>'[1]надх'!$B$52/1000</f>
        <v>25512.10217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5" t="s">
        <v>212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171" t="s">
        <v>208</v>
      </c>
      <c r="E3" s="171"/>
      <c r="F3" s="172" t="s">
        <v>107</v>
      </c>
      <c r="G3" s="173"/>
      <c r="H3" s="173"/>
      <c r="I3" s="173"/>
      <c r="J3" s="173"/>
      <c r="K3" s="173"/>
      <c r="L3" s="174"/>
      <c r="M3" s="175" t="s">
        <v>210</v>
      </c>
      <c r="N3" s="177" t="s">
        <v>198</v>
      </c>
      <c r="O3" s="177"/>
      <c r="P3" s="177"/>
      <c r="Q3" s="177"/>
      <c r="R3" s="177"/>
    </row>
    <row r="4" spans="1:18" ht="22.5" customHeight="1">
      <c r="A4" s="167"/>
      <c r="B4" s="169"/>
      <c r="C4" s="170"/>
      <c r="D4" s="171"/>
      <c r="E4" s="171"/>
      <c r="F4" s="178" t="s">
        <v>116</v>
      </c>
      <c r="G4" s="163" t="s">
        <v>207</v>
      </c>
      <c r="H4" s="180" t="s">
        <v>195</v>
      </c>
      <c r="I4" s="182" t="s">
        <v>188</v>
      </c>
      <c r="J4" s="184" t="s">
        <v>189</v>
      </c>
      <c r="K4" s="186" t="s">
        <v>196</v>
      </c>
      <c r="L4" s="187"/>
      <c r="M4" s="176"/>
      <c r="N4" s="194" t="s">
        <v>213</v>
      </c>
      <c r="O4" s="182" t="s">
        <v>136</v>
      </c>
      <c r="P4" s="182" t="s">
        <v>135</v>
      </c>
      <c r="Q4" s="186" t="s">
        <v>197</v>
      </c>
      <c r="R4" s="187"/>
    </row>
    <row r="5" spans="1:18" ht="82.5" customHeight="1">
      <c r="A5" s="168"/>
      <c r="B5" s="169"/>
      <c r="C5" s="170"/>
      <c r="D5" s="150" t="s">
        <v>209</v>
      </c>
      <c r="E5" s="158" t="s">
        <v>214</v>
      </c>
      <c r="F5" s="179"/>
      <c r="G5" s="164"/>
      <c r="H5" s="181"/>
      <c r="I5" s="183"/>
      <c r="J5" s="185"/>
      <c r="K5" s="188"/>
      <c r="L5" s="189"/>
      <c r="M5" s="151" t="s">
        <v>211</v>
      </c>
      <c r="N5" s="195"/>
      <c r="O5" s="183"/>
      <c r="P5" s="183"/>
      <c r="Q5" s="188"/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1"/>
      <c r="O138" s="191"/>
    </row>
    <row r="139" spans="3:15" ht="15.75">
      <c r="C139" s="120">
        <v>41726</v>
      </c>
      <c r="D139" s="39">
        <v>4682.6</v>
      </c>
      <c r="F139" s="4" t="s">
        <v>166</v>
      </c>
      <c r="G139" s="192" t="s">
        <v>151</v>
      </c>
      <c r="H139" s="192"/>
      <c r="I139" s="115">
        <v>13825.22196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41725</v>
      </c>
      <c r="D140" s="39">
        <v>3360.7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114985.02570999999</v>
      </c>
      <c r="E142" s="80"/>
      <c r="F142" s="100" t="s">
        <v>147</v>
      </c>
      <c r="G142" s="192" t="s">
        <v>149</v>
      </c>
      <c r="H142" s="192"/>
      <c r="I142" s="116">
        <v>101159.80375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3918.1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8"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  <mergeCell ref="N4:N5"/>
    <mergeCell ref="O4:O5"/>
    <mergeCell ref="P4:P5"/>
    <mergeCell ref="G137:J137"/>
    <mergeCell ref="N138:O138"/>
    <mergeCell ref="G139:H139"/>
    <mergeCell ref="J139:M139"/>
    <mergeCell ref="N139:O139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5" t="s">
        <v>193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187</v>
      </c>
      <c r="E3" s="46"/>
      <c r="F3" s="206" t="s">
        <v>107</v>
      </c>
      <c r="G3" s="207"/>
      <c r="H3" s="207"/>
      <c r="I3" s="207"/>
      <c r="J3" s="208"/>
      <c r="K3" s="123"/>
      <c r="L3" s="123"/>
      <c r="M3" s="209" t="s">
        <v>190</v>
      </c>
      <c r="N3" s="204" t="s">
        <v>185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191</v>
      </c>
      <c r="F4" s="212" t="s">
        <v>116</v>
      </c>
      <c r="G4" s="214" t="s">
        <v>167</v>
      </c>
      <c r="H4" s="180" t="s">
        <v>168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09"/>
      <c r="N4" s="194" t="s">
        <v>194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184</v>
      </c>
      <c r="L5" s="189"/>
      <c r="M5" s="209"/>
      <c r="N5" s="195"/>
      <c r="O5" s="217"/>
      <c r="P5" s="204"/>
      <c r="Q5" s="188" t="s">
        <v>199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1"/>
      <c r="O138" s="191"/>
    </row>
    <row r="139" spans="3:15" ht="15.75">
      <c r="C139" s="120">
        <v>41697</v>
      </c>
      <c r="D139" s="39">
        <v>2276.8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41696</v>
      </c>
      <c r="D140" s="39">
        <v>3746.1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f>'[1]залишки  (2)'!$G$8/1000</f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121970.53</v>
      </c>
      <c r="E142" s="80"/>
      <c r="F142" s="100" t="s">
        <v>147</v>
      </c>
      <c r="G142" s="192" t="s">
        <v>149</v>
      </c>
      <c r="H142" s="192"/>
      <c r="I142" s="116">
        <v>108145.31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5" t="s">
        <v>183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26"/>
      <c r="R1" s="127"/>
    </row>
    <row r="2" spans="2:18" s="1" customFormat="1" ht="15.75" customHeight="1">
      <c r="B2" s="166"/>
      <c r="C2" s="166"/>
      <c r="D2" s="166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7"/>
      <c r="B3" s="169"/>
      <c r="C3" s="170" t="s">
        <v>0</v>
      </c>
      <c r="D3" s="205" t="s">
        <v>192</v>
      </c>
      <c r="E3" s="46"/>
      <c r="F3" s="206" t="s">
        <v>107</v>
      </c>
      <c r="G3" s="207"/>
      <c r="H3" s="207"/>
      <c r="I3" s="207"/>
      <c r="J3" s="208"/>
      <c r="K3" s="123"/>
      <c r="L3" s="123"/>
      <c r="M3" s="184" t="s">
        <v>200</v>
      </c>
      <c r="N3" s="204" t="s">
        <v>178</v>
      </c>
      <c r="O3" s="204"/>
      <c r="P3" s="204"/>
      <c r="Q3" s="204"/>
      <c r="R3" s="204"/>
    </row>
    <row r="4" spans="1:18" ht="22.5" customHeight="1">
      <c r="A4" s="167"/>
      <c r="B4" s="169"/>
      <c r="C4" s="170"/>
      <c r="D4" s="205"/>
      <c r="E4" s="210" t="s">
        <v>153</v>
      </c>
      <c r="F4" s="212" t="s">
        <v>116</v>
      </c>
      <c r="G4" s="214" t="s">
        <v>175</v>
      </c>
      <c r="H4" s="180" t="s">
        <v>176</v>
      </c>
      <c r="I4" s="216" t="s">
        <v>188</v>
      </c>
      <c r="J4" s="218" t="s">
        <v>189</v>
      </c>
      <c r="K4" s="125" t="s">
        <v>174</v>
      </c>
      <c r="L4" s="130" t="s">
        <v>173</v>
      </c>
      <c r="M4" s="220"/>
      <c r="N4" s="194" t="s">
        <v>186</v>
      </c>
      <c r="O4" s="216" t="s">
        <v>136</v>
      </c>
      <c r="P4" s="204" t="s">
        <v>135</v>
      </c>
      <c r="Q4" s="131" t="s">
        <v>174</v>
      </c>
      <c r="R4" s="132" t="s">
        <v>173</v>
      </c>
    </row>
    <row r="5" spans="1:18" ht="82.5" customHeight="1">
      <c r="A5" s="168"/>
      <c r="B5" s="169"/>
      <c r="C5" s="170"/>
      <c r="D5" s="205"/>
      <c r="E5" s="211"/>
      <c r="F5" s="213"/>
      <c r="G5" s="215"/>
      <c r="H5" s="181"/>
      <c r="I5" s="217"/>
      <c r="J5" s="219"/>
      <c r="K5" s="188" t="s">
        <v>177</v>
      </c>
      <c r="L5" s="189"/>
      <c r="M5" s="185"/>
      <c r="N5" s="195"/>
      <c r="O5" s="217"/>
      <c r="P5" s="204"/>
      <c r="Q5" s="188" t="s">
        <v>179</v>
      </c>
      <c r="R5" s="18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0"/>
      <c r="H137" s="190"/>
      <c r="I137" s="190"/>
      <c r="J137" s="19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1"/>
      <c r="O138" s="191"/>
    </row>
    <row r="139" spans="3:15" ht="15.75">
      <c r="C139" s="120">
        <v>41669</v>
      </c>
      <c r="D139" s="39">
        <v>4752.2</v>
      </c>
      <c r="F139" s="4" t="s">
        <v>166</v>
      </c>
      <c r="G139" s="192" t="s">
        <v>151</v>
      </c>
      <c r="H139" s="192"/>
      <c r="I139" s="115">
        <v>13825.22</v>
      </c>
      <c r="J139" s="193" t="s">
        <v>161</v>
      </c>
      <c r="K139" s="193"/>
      <c r="L139" s="193"/>
      <c r="M139" s="193"/>
      <c r="N139" s="191"/>
      <c r="O139" s="191"/>
    </row>
    <row r="140" spans="3:15" ht="15.75">
      <c r="C140" s="120">
        <v>41668</v>
      </c>
      <c r="D140" s="39">
        <v>1984.7</v>
      </c>
      <c r="G140" s="196" t="s">
        <v>155</v>
      </c>
      <c r="H140" s="196"/>
      <c r="I140" s="112">
        <v>0</v>
      </c>
      <c r="J140" s="197" t="s">
        <v>162</v>
      </c>
      <c r="K140" s="197"/>
      <c r="L140" s="197"/>
      <c r="M140" s="197"/>
      <c r="N140" s="191"/>
      <c r="O140" s="191"/>
    </row>
    <row r="141" spans="7:13" ht="15.75" customHeight="1">
      <c r="G141" s="192" t="s">
        <v>148</v>
      </c>
      <c r="H141" s="192"/>
      <c r="I141" s="112">
        <v>0</v>
      </c>
      <c r="J141" s="193" t="s">
        <v>163</v>
      </c>
      <c r="K141" s="193"/>
      <c r="L141" s="193"/>
      <c r="M141" s="193"/>
    </row>
    <row r="142" spans="2:13" ht="18.75" customHeight="1">
      <c r="B142" s="198" t="s">
        <v>160</v>
      </c>
      <c r="C142" s="199"/>
      <c r="D142" s="117">
        <v>111410.62</v>
      </c>
      <c r="E142" s="80"/>
      <c r="F142" s="100" t="s">
        <v>147</v>
      </c>
      <c r="G142" s="192" t="s">
        <v>149</v>
      </c>
      <c r="H142" s="192"/>
      <c r="I142" s="116">
        <v>97585.4</v>
      </c>
      <c r="J142" s="193" t="s">
        <v>164</v>
      </c>
      <c r="K142" s="193"/>
      <c r="L142" s="193"/>
      <c r="M142" s="193"/>
    </row>
    <row r="143" spans="7:12" ht="9.75" customHeight="1">
      <c r="G143" s="200"/>
      <c r="H143" s="200"/>
      <c r="I143" s="98"/>
      <c r="J143" s="99"/>
      <c r="K143" s="99"/>
      <c r="L143" s="99"/>
    </row>
    <row r="144" spans="2:12" ht="22.5" customHeight="1">
      <c r="B144" s="201" t="s">
        <v>169</v>
      </c>
      <c r="C144" s="202"/>
      <c r="D144" s="119">
        <v>0</v>
      </c>
      <c r="E144" s="77" t="s">
        <v>104</v>
      </c>
      <c r="G144" s="200"/>
      <c r="H144" s="200"/>
      <c r="I144" s="98"/>
      <c r="J144" s="99"/>
      <c r="K144" s="99"/>
      <c r="L144" s="99"/>
    </row>
    <row r="145" spans="4:15" ht="15.75">
      <c r="D145" s="114"/>
      <c r="N145" s="200"/>
      <c r="O145" s="200"/>
    </row>
    <row r="146" spans="4:15" ht="15.75">
      <c r="D146" s="113"/>
      <c r="I146" s="39"/>
      <c r="N146" s="203"/>
      <c r="O146" s="203"/>
    </row>
    <row r="147" spans="14:15" ht="15.75">
      <c r="N147" s="200"/>
      <c r="O147" s="200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2014-06-03T08:57:44Z</cp:lastPrinted>
  <dcterms:created xsi:type="dcterms:W3CDTF">2003-07-28T11:27:56Z</dcterms:created>
  <dcterms:modified xsi:type="dcterms:W3CDTF">2014-06-04T07:52:14Z</dcterms:modified>
  <cp:category/>
  <cp:version/>
  <cp:contentType/>
  <cp:contentStatus/>
</cp:coreProperties>
</file>